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30" windowHeight="5925" activeTab="1"/>
  </bookViews>
  <sheets>
    <sheet name="Annual" sheetId="1" r:id="rId1"/>
    <sheet name="Data for Chart" sheetId="2" r:id="rId2"/>
  </sheets>
  <calcPr calcId="145621"/>
</workbook>
</file>

<file path=xl/calcChain.xml><?xml version="1.0" encoding="utf-8"?>
<calcChain xmlns="http://schemas.openxmlformats.org/spreadsheetml/2006/main">
  <c r="L10" i="2" l="1"/>
  <c r="L16" i="2" s="1"/>
  <c r="N11" i="2" l="1"/>
  <c r="N12" i="2"/>
  <c r="N16" i="2"/>
  <c r="N13" i="2"/>
  <c r="N17" i="2"/>
  <c r="N10" i="2"/>
  <c r="N15" i="2"/>
  <c r="N14" i="2"/>
  <c r="F15" i="2"/>
  <c r="AD30" i="1"/>
  <c r="AD28" i="1"/>
  <c r="AD29" i="1"/>
  <c r="R28" i="1"/>
  <c r="V28" i="1"/>
  <c r="X28" i="1"/>
  <c r="R29" i="1"/>
  <c r="V29" i="1"/>
  <c r="X29" i="1"/>
  <c r="AD27" i="1"/>
  <c r="I30" i="1"/>
  <c r="F17" i="2"/>
  <c r="F16" i="2"/>
  <c r="AD39" i="1"/>
  <c r="Y39" i="1"/>
  <c r="I39" i="1"/>
  <c r="I35" i="1"/>
  <c r="AD35" i="1"/>
  <c r="AF38" i="1" l="1"/>
  <c r="AE38" i="1"/>
  <c r="AF37" i="1"/>
  <c r="AE37" i="1"/>
  <c r="AF16" i="1"/>
  <c r="AE16" i="1"/>
  <c r="AF14" i="1"/>
  <c r="AE14" i="1"/>
  <c r="AF10" i="1"/>
  <c r="AE10" i="1"/>
  <c r="Z27" i="1"/>
  <c r="Y27" i="1"/>
  <c r="X27" i="1"/>
  <c r="V27" i="1"/>
  <c r="AG27" i="1" s="1"/>
  <c r="G16" i="2" s="1"/>
  <c r="R27" i="1"/>
  <c r="AB27" i="1" l="1"/>
  <c r="AD38" i="1"/>
  <c r="AE43" i="1"/>
  <c r="AF43" i="1"/>
  <c r="AD33" i="1"/>
  <c r="AE33" i="1"/>
  <c r="AF33" i="1"/>
  <c r="AD34" i="1"/>
  <c r="AE34" i="1"/>
  <c r="AF34" i="1"/>
  <c r="X38" i="1"/>
  <c r="Y38" i="1"/>
  <c r="Z38" i="1"/>
  <c r="X33" i="1"/>
  <c r="Y33" i="1"/>
  <c r="Z33" i="1"/>
  <c r="X34" i="1"/>
  <c r="Y34" i="1"/>
  <c r="Z34" i="1"/>
  <c r="V38" i="1"/>
  <c r="V33" i="1"/>
  <c r="V34" i="1"/>
  <c r="AF58" i="1"/>
  <c r="AE58" i="1"/>
  <c r="AF54" i="1"/>
  <c r="AE54" i="1"/>
  <c r="AD16" i="1"/>
  <c r="F12" i="2" s="1"/>
  <c r="AF50" i="1"/>
  <c r="AE50" i="1"/>
  <c r="AD10" i="1"/>
  <c r="F10" i="2" s="1"/>
  <c r="AF42" i="1"/>
  <c r="AE42" i="1"/>
  <c r="AD37" i="1"/>
  <c r="AF32" i="1"/>
  <c r="AE32" i="1"/>
  <c r="AD32" i="1"/>
  <c r="AD14" i="1"/>
  <c r="F11" i="2" s="1"/>
  <c r="Z16" i="1"/>
  <c r="Y16" i="1"/>
  <c r="X16" i="1"/>
  <c r="Z10" i="1"/>
  <c r="Y10" i="1"/>
  <c r="X10" i="1"/>
  <c r="Z37" i="1"/>
  <c r="Y37" i="1"/>
  <c r="X37" i="1"/>
  <c r="Z32" i="1"/>
  <c r="Y32" i="1"/>
  <c r="X32" i="1"/>
  <c r="Z14" i="1"/>
  <c r="Y14" i="1"/>
  <c r="X14" i="1"/>
  <c r="AG58" i="1"/>
  <c r="V16" i="1"/>
  <c r="V10" i="1"/>
  <c r="V37" i="1"/>
  <c r="AG37" i="1" s="1"/>
  <c r="G20" i="2" s="1"/>
  <c r="V32" i="1"/>
  <c r="AG32" i="1" s="1"/>
  <c r="G17" i="2" s="1"/>
  <c r="V14" i="1"/>
  <c r="AG14" i="1" s="1"/>
  <c r="G11" i="2" s="1"/>
  <c r="R16" i="1"/>
  <c r="R10" i="1"/>
  <c r="R38" i="1"/>
  <c r="R37" i="1"/>
  <c r="R34" i="1"/>
  <c r="R33" i="1"/>
  <c r="R32" i="1"/>
  <c r="R14" i="1"/>
  <c r="U20" i="1"/>
  <c r="T20" i="1"/>
  <c r="S20" i="1"/>
  <c r="AD20" i="1" s="1"/>
  <c r="F13" i="2" s="1"/>
  <c r="AG54" i="1" l="1"/>
  <c r="AG16" i="1"/>
  <c r="G13" i="2" s="1"/>
  <c r="AE45" i="1"/>
  <c r="AE20" i="1"/>
  <c r="AG43" i="1"/>
  <c r="AG38" i="1"/>
  <c r="G21" i="2" s="1"/>
  <c r="AF45" i="1"/>
  <c r="AF20" i="1"/>
  <c r="AG50" i="1"/>
  <c r="AG10" i="1"/>
  <c r="G10" i="2" s="1"/>
  <c r="AB37" i="1"/>
  <c r="AB34" i="1"/>
  <c r="AB33" i="1"/>
  <c r="AG42" i="1"/>
  <c r="V20" i="1"/>
  <c r="AG20" i="1" s="1"/>
  <c r="G14" i="2" s="1"/>
  <c r="AG34" i="1"/>
  <c r="G19" i="2" s="1"/>
  <c r="AB14" i="1"/>
  <c r="AB10" i="1"/>
  <c r="AG33" i="1"/>
  <c r="G18" i="2" s="1"/>
  <c r="AB32" i="1"/>
  <c r="AB16" i="1"/>
  <c r="AB38" i="1"/>
  <c r="U25" i="1"/>
  <c r="T25" i="1"/>
  <c r="S25" i="1"/>
  <c r="V25" i="1" l="1"/>
  <c r="AG45" i="1"/>
  <c r="Q20" i="1"/>
  <c r="Z20" i="1" s="1"/>
  <c r="P20" i="1"/>
  <c r="Y20" i="1" s="1"/>
  <c r="O20" i="1"/>
  <c r="X20" i="1" l="1"/>
  <c r="R20" i="1"/>
  <c r="AB20" i="1" s="1"/>
  <c r="Q25" i="1"/>
  <c r="Z25" i="1" s="1"/>
  <c r="P25" i="1"/>
  <c r="Y25" i="1" s="1"/>
  <c r="O25" i="1"/>
  <c r="I25" i="1"/>
  <c r="R25" i="1" l="1"/>
  <c r="AB25" i="1" s="1"/>
  <c r="X25" i="1"/>
  <c r="AE25" i="1"/>
  <c r="AF25" i="1"/>
  <c r="AG25" i="1"/>
  <c r="G15" i="2" s="1"/>
  <c r="AD25" i="1"/>
  <c r="F14" i="2" s="1"/>
</calcChain>
</file>

<file path=xl/sharedStrings.xml><?xml version="1.0" encoding="utf-8"?>
<sst xmlns="http://schemas.openxmlformats.org/spreadsheetml/2006/main" count="218" uniqueCount="112">
  <si>
    <t>March 2017</t>
  </si>
  <si>
    <t>All existing  (old) eligible equipment runs on diesel.</t>
  </si>
  <si>
    <t>No.</t>
  </si>
  <si>
    <t>Vehicle or</t>
  </si>
  <si>
    <t>On-road/</t>
  </si>
  <si>
    <t>Class</t>
  </si>
  <si>
    <t>GVWR (lb)</t>
  </si>
  <si>
    <t>Technology</t>
  </si>
  <si>
    <t>Quantity</t>
  </si>
  <si>
    <t>Equipment</t>
  </si>
  <si>
    <t>Non-road</t>
  </si>
  <si>
    <t>Local Freight Truck</t>
  </si>
  <si>
    <t>ON</t>
  </si>
  <si>
    <t>4 - 7</t>
  </si>
  <si>
    <t>Local Freight Delivery Truck</t>
  </si>
  <si>
    <t>14,000 - 33,000</t>
  </si>
  <si>
    <t>Replacement</t>
  </si>
  <si>
    <t>ANNUAL SCENARIO</t>
  </si>
  <si>
    <t>8a, 8b</t>
  </si>
  <si>
    <t xml:space="preserve">&gt; 33,000 </t>
  </si>
  <si>
    <t>School Bus</t>
  </si>
  <si>
    <t>Shuttle Bus</t>
  </si>
  <si>
    <t>Transit Bus</t>
  </si>
  <si>
    <t>7 - 8a</t>
  </si>
  <si>
    <t>26,000 - 60,000</t>
  </si>
  <si>
    <t>Forklifts</t>
  </si>
  <si>
    <t>NON</t>
  </si>
  <si>
    <t>&gt; 8,000 lbs</t>
  </si>
  <si>
    <t>lift capacity</t>
  </si>
  <si>
    <t>Airport Ground Support Eq</t>
  </si>
  <si>
    <t>N/A</t>
  </si>
  <si>
    <t>Freight Switchers</t>
  </si>
  <si>
    <t>(Yard Locomotives)</t>
  </si>
  <si>
    <t>&gt; 1,000 hrs</t>
  </si>
  <si>
    <t>operation/yr</t>
  </si>
  <si>
    <t>Criteria</t>
  </si>
  <si>
    <t>MY 1992 - 2009</t>
  </si>
  <si>
    <t>Tier 0, 1 or 2</t>
  </si>
  <si>
    <t>($, 2016)</t>
  </si>
  <si>
    <t xml:space="preserve">(belt loader, cargo truck, </t>
  </si>
  <si>
    <t>jet tug)</t>
  </si>
  <si>
    <t>(Electric)</t>
  </si>
  <si>
    <t>Old</t>
  </si>
  <si>
    <t>Model</t>
  </si>
  <si>
    <t>Year</t>
  </si>
  <si>
    <t>See State</t>
  </si>
  <si>
    <t>Fleet</t>
  </si>
  <si>
    <t>Omaha, NE</t>
  </si>
  <si>
    <t>UPRR, Jon Germer</t>
  </si>
  <si>
    <t>Delta Air Lines</t>
  </si>
  <si>
    <t>ATL, GA</t>
  </si>
  <si>
    <t>Tons per Year</t>
  </si>
  <si>
    <t>NOX</t>
  </si>
  <si>
    <t>PM2.5</t>
  </si>
  <si>
    <t>VOC</t>
  </si>
  <si>
    <t>"</t>
  </si>
  <si>
    <t>New MY</t>
  </si>
  <si>
    <t>Fuel for</t>
  </si>
  <si>
    <t xml:space="preserve">New </t>
  </si>
  <si>
    <t>Vehicle/</t>
  </si>
  <si>
    <t>Diesel</t>
  </si>
  <si>
    <t>CNG</t>
  </si>
  <si>
    <t>LPG</t>
  </si>
  <si>
    <t>Electric</t>
  </si>
  <si>
    <t>Emissions Reduced</t>
  </si>
  <si>
    <t>Emissions of Old Model-Year</t>
  </si>
  <si>
    <t>Vehicle/Equipment</t>
  </si>
  <si>
    <t>∑ (NOX, PM2.5, VOC)</t>
  </si>
  <si>
    <t xml:space="preserve">Emissions Reduced </t>
  </si>
  <si>
    <t>Percent</t>
  </si>
  <si>
    <t>Emissions</t>
  </si>
  <si>
    <t>Reduced</t>
  </si>
  <si>
    <t>The EPA Diesel Emissions Quantifier, for a given vehicle, shows the same emissions for CNG, diesel, LNG or LPG.</t>
  </si>
  <si>
    <t>Emissions of Old MY</t>
  </si>
  <si>
    <t>Percent Emissions Reduced</t>
  </si>
  <si>
    <t>$/Ton</t>
  </si>
  <si>
    <t>Eligibility</t>
  </si>
  <si>
    <t>VW Settlement Fund Study</t>
  </si>
  <si>
    <t>Cheryl Meyers</t>
  </si>
  <si>
    <t>Vehicle Replacement</t>
  </si>
  <si>
    <t>Vehicle or Equipment</t>
  </si>
  <si>
    <t>Cost of New Vehicle/</t>
  </si>
  <si>
    <t xml:space="preserve">ON </t>
  </si>
  <si>
    <t>14,000 - 14,500</t>
  </si>
  <si>
    <t>Description</t>
  </si>
  <si>
    <t>Local Freight Delivery Truck (Class 4 - 7)</t>
  </si>
  <si>
    <t>Forklift</t>
  </si>
  <si>
    <t>Freight Switcher (Yard Loco)</t>
  </si>
  <si>
    <t>Airport Ground Support Equipment</t>
  </si>
  <si>
    <t>∑(NOX, PM2.5, VOC)</t>
  </si>
  <si>
    <t>AVG</t>
  </si>
  <si>
    <t>Shuttle Bus (CNG, Diesel or LPG)</t>
  </si>
  <si>
    <t>Transit Bus (Diesel or CNG)</t>
  </si>
  <si>
    <t>School Bus (Diesel, CNG or LPG)</t>
  </si>
  <si>
    <t>*</t>
  </si>
  <si>
    <t>*Average of CNG, diesel and LPG</t>
  </si>
  <si>
    <t>Annual Costs per Ton Emissions Reduced (NOX)</t>
  </si>
  <si>
    <t>Cost/Ton as f (Settlement</t>
  </si>
  <si>
    <t>Funding</t>
  </si>
  <si>
    <t>Excess NOX</t>
  </si>
  <si>
    <t>Average</t>
  </si>
  <si>
    <t>$/Ton
NOX</t>
  </si>
  <si>
    <t>@ Factor of 40</t>
  </si>
  <si>
    <t>VW Penalty</t>
  </si>
  <si>
    <t xml:space="preserve"> $/Ton</t>
  </si>
  <si>
    <t>Useful</t>
  </si>
  <si>
    <t>(Years)</t>
  </si>
  <si>
    <t>Funds and Excess NOX TPY)</t>
  </si>
  <si>
    <t>Life**</t>
  </si>
  <si>
    <t xml:space="preserve">**For new vehicles and equipment from EPA Diesel Emissions Quantifier </t>
  </si>
  <si>
    <t>VW Eligible Equipment</t>
  </si>
  <si>
    <t>Local Freight Truck (Class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</si>
</sst>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&quot;$&quot;#,##0"/>
    <numFmt numFmtId="165" formatCode="0.000"/>
    <numFmt numFmtId="166" formatCode="0.0000"/>
    <numFmt numFmtId="167" formatCode="0.0%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" fontId="0" fillId="0" borderId="0" xfId="0" quotePrefix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1" fontId="0" fillId="0" borderId="0" xfId="0" applyNumberFormat="1" applyAlignment="1">
      <alignment horizontal="centerContinuous" vertical="center"/>
    </xf>
    <xf numFmtId="0" fontId="0" fillId="0" borderId="0" xfId="0" quotePrefix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Continuous" vertical="center"/>
    </xf>
    <xf numFmtId="165" fontId="0" fillId="0" borderId="0" xfId="0" applyNumberFormat="1" applyAlignment="1">
      <alignment horizontal="centerContinuous" vertical="center"/>
    </xf>
    <xf numFmtId="167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100" b="0" i="0" baseline="0">
                <a:effectLst/>
              </a:rPr>
              <a:t>VW Settlement </a:t>
            </a:r>
          </a:p>
          <a:p>
            <a:pPr algn="ctr">
              <a:defRPr/>
            </a:pPr>
            <a:r>
              <a:rPr lang="en-US" sz="1100" b="0" i="0" baseline="0">
                <a:effectLst/>
              </a:rPr>
              <a:t>Vehicle and Equipment Replacements</a:t>
            </a:r>
            <a:endParaRPr lang="en-US" sz="1100">
              <a:effectLst/>
            </a:endParaRPr>
          </a:p>
          <a:p>
            <a:pPr algn="ctr">
              <a:defRPr/>
            </a:pPr>
            <a:r>
              <a:rPr lang="en-US" sz="1100" b="0" i="0" baseline="0">
                <a:effectLst/>
              </a:rPr>
              <a:t>ANNUAL Costs per Ton of NOx Emissions Reduced</a:t>
            </a:r>
            <a:endParaRPr lang="en-US" sz="1100">
              <a:effectLst/>
            </a:endParaRPr>
          </a:p>
          <a:p>
            <a:pPr algn="ctr">
              <a:defRPr/>
            </a:pPr>
            <a:r>
              <a:rPr lang="en-US" sz="1100" b="0" i="0" baseline="0">
                <a:effectLst/>
              </a:rPr>
              <a:t>($/Ton)</a:t>
            </a:r>
            <a:endParaRPr lang="en-US" sz="11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NOX $/Ton</c:v>
          </c:tx>
          <c:invertIfNegative val="0"/>
          <c:cat>
            <c:strRef>
              <c:f>'Data for Chart'!$B$10:$B$17</c:f>
              <c:strCache>
                <c:ptCount val="8"/>
                <c:pt idx="0">
                  <c:v>Forklift</c:v>
                </c:pt>
                <c:pt idx="1">
                  <c:v>Local Freight Truck (Class 8)</c:v>
                </c:pt>
                <c:pt idx="2">
                  <c:v>Freight Switcher (Yard Loco)</c:v>
                </c:pt>
                <c:pt idx="3">
                  <c:v>Airport Ground Support Equipment</c:v>
                </c:pt>
                <c:pt idx="4">
                  <c:v>Local Freight Delivery Truck (Class 4 - 7)</c:v>
                </c:pt>
                <c:pt idx="5">
                  <c:v>Shuttle Bus (CNG, Diesel or LPG)</c:v>
                </c:pt>
                <c:pt idx="6">
                  <c:v>School Bus (Diesel, CNG or LPG)</c:v>
                </c:pt>
                <c:pt idx="7">
                  <c:v>Transit Bus (Diesel or CNG)</c:v>
                </c:pt>
              </c:strCache>
            </c:strRef>
          </c:cat>
          <c:val>
            <c:numRef>
              <c:f>'Data for Chart'!$F$10:$F$17</c:f>
              <c:numCache>
                <c:formatCode>"$"#,##0</c:formatCode>
                <c:ptCount val="8"/>
                <c:pt idx="0">
                  <c:v>66661.538461538454</c:v>
                </c:pt>
                <c:pt idx="1">
                  <c:v>77319.587628865978</c:v>
                </c:pt>
                <c:pt idx="2">
                  <c:v>179257.36235595393</c:v>
                </c:pt>
                <c:pt idx="3">
                  <c:v>184831.52994977747</c:v>
                </c:pt>
                <c:pt idx="4">
                  <c:v>220699.26820768966</c:v>
                </c:pt>
                <c:pt idx="5">
                  <c:v>319210.67821067822</c:v>
                </c:pt>
                <c:pt idx="6">
                  <c:v>596931.65969316603</c:v>
                </c:pt>
                <c:pt idx="7">
                  <c:v>721763.10901557375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'Data for Chart'!$B$10:$B$17</c:f>
              <c:strCache>
                <c:ptCount val="8"/>
                <c:pt idx="0">
                  <c:v>Forklift</c:v>
                </c:pt>
                <c:pt idx="1">
                  <c:v>Local Freight Truck (Class 8)</c:v>
                </c:pt>
                <c:pt idx="2">
                  <c:v>Freight Switcher (Yard Loco)</c:v>
                </c:pt>
                <c:pt idx="3">
                  <c:v>Airport Ground Support Equipment</c:v>
                </c:pt>
                <c:pt idx="4">
                  <c:v>Local Freight Delivery Truck (Class 4 - 7)</c:v>
                </c:pt>
                <c:pt idx="5">
                  <c:v>Shuttle Bus (CNG, Diesel or LPG)</c:v>
                </c:pt>
                <c:pt idx="6">
                  <c:v>School Bus (Diesel, CNG or LPG)</c:v>
                </c:pt>
                <c:pt idx="7">
                  <c:v>Transit Bus (Diesel or CNG)</c:v>
                </c:pt>
              </c:strCache>
            </c:strRef>
          </c:cat>
          <c:val>
            <c:numRef>
              <c:f>'Data for Chart'!$G$10:$G$17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07616"/>
        <c:axId val="134610304"/>
      </c:barChart>
      <c:lineChart>
        <c:grouping val="standard"/>
        <c:varyColors val="0"/>
        <c:ser>
          <c:idx val="2"/>
          <c:order val="2"/>
          <c:tx>
            <c:v>VW Penalty ($/Ton)</c:v>
          </c:tx>
          <c:marker>
            <c:symbol val="none"/>
          </c:marker>
          <c:cat>
            <c:strRef>
              <c:f>'Data for Chart'!$B$10:$B$17</c:f>
              <c:strCache>
                <c:ptCount val="8"/>
                <c:pt idx="0">
                  <c:v>Forklift</c:v>
                </c:pt>
                <c:pt idx="1">
                  <c:v>Local Freight Truck (Class 8)</c:v>
                </c:pt>
                <c:pt idx="2">
                  <c:v>Freight Switcher (Yard Loco)</c:v>
                </c:pt>
                <c:pt idx="3">
                  <c:v>Airport Ground Support Equipment</c:v>
                </c:pt>
                <c:pt idx="4">
                  <c:v>Local Freight Delivery Truck (Class 4 - 7)</c:v>
                </c:pt>
                <c:pt idx="5">
                  <c:v>Shuttle Bus (CNG, Diesel or LPG)</c:v>
                </c:pt>
                <c:pt idx="6">
                  <c:v>School Bus (Diesel, CNG or LPG)</c:v>
                </c:pt>
                <c:pt idx="7">
                  <c:v>Transit Bus (Diesel or CNG)</c:v>
                </c:pt>
              </c:strCache>
            </c:strRef>
          </c:cat>
          <c:val>
            <c:numRef>
              <c:f>'Data for Chart'!$N$10:$N$17</c:f>
              <c:numCache>
                <c:formatCode>"$"#,##0</c:formatCode>
                <c:ptCount val="8"/>
                <c:pt idx="0">
                  <c:v>152879.20964797915</c:v>
                </c:pt>
                <c:pt idx="1">
                  <c:v>152879.20964797915</c:v>
                </c:pt>
                <c:pt idx="2">
                  <c:v>152879.20964797915</c:v>
                </c:pt>
                <c:pt idx="3">
                  <c:v>152879.20964797915</c:v>
                </c:pt>
                <c:pt idx="4">
                  <c:v>152879.20964797915</c:v>
                </c:pt>
                <c:pt idx="5">
                  <c:v>152879.20964797915</c:v>
                </c:pt>
                <c:pt idx="6">
                  <c:v>152879.20964797915</c:v>
                </c:pt>
                <c:pt idx="7">
                  <c:v>152879.20964797915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07616"/>
        <c:axId val="134610304"/>
      </c:lineChart>
      <c:catAx>
        <c:axId val="13460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10304"/>
        <c:crosses val="autoZero"/>
        <c:auto val="1"/>
        <c:lblAlgn val="ctr"/>
        <c:lblOffset val="100"/>
        <c:noMultiLvlLbl val="0"/>
      </c:catAx>
      <c:valAx>
        <c:axId val="13461030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3460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98501510314812"/>
          <c:y val="0.6075952257792594"/>
          <c:w val="0.19684652813859166"/>
          <c:h val="7.03957698718317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21</xdr:row>
      <xdr:rowOff>180975</xdr:rowOff>
    </xdr:from>
    <xdr:to>
      <xdr:col>11</xdr:col>
      <xdr:colOff>685800</xdr:colOff>
      <xdr:row>56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workbookViewId="0">
      <pane xSplit="2" ySplit="8" topLeftCell="J9" activePane="bottomRight" state="frozen"/>
      <selection pane="topRight" activeCell="C1" sqref="C1"/>
      <selection pane="bottomLeft" activeCell="A9" sqref="A9"/>
      <selection pane="bottomRight" activeCell="AD35" sqref="AD35"/>
    </sheetView>
  </sheetViews>
  <sheetFormatPr defaultRowHeight="15" x14ac:dyDescent="0.25"/>
  <cols>
    <col min="1" max="1" width="9.140625" style="1"/>
    <col min="2" max="2" width="25.7109375" style="1" bestFit="1" customWidth="1"/>
    <col min="3" max="3" width="9.42578125" style="1" bestFit="1" customWidth="1"/>
    <col min="4" max="4" width="12.28515625" style="1" bestFit="1" customWidth="1"/>
    <col min="5" max="5" width="13.85546875" style="1" bestFit="1" customWidth="1"/>
    <col min="6" max="6" width="13.85546875" style="1" customWidth="1"/>
    <col min="7" max="7" width="20.140625" style="1" bestFit="1" customWidth="1"/>
    <col min="8" max="8" width="8.7109375" style="1" customWidth="1"/>
    <col min="9" max="9" width="22.28515625" style="7" customWidth="1"/>
    <col min="10" max="10" width="9.140625" style="8"/>
    <col min="11" max="11" width="25.7109375" style="8" bestFit="1" customWidth="1"/>
    <col min="12" max="12" width="10.7109375" style="1" bestFit="1" customWidth="1"/>
    <col min="13" max="13" width="17" style="1" customWidth="1"/>
    <col min="14" max="14" width="9.140625" style="1"/>
    <col min="15" max="15" width="19" style="1" customWidth="1"/>
    <col min="16" max="17" width="19" style="1" hidden="1" customWidth="1"/>
    <col min="18" max="18" width="26.85546875" style="8" hidden="1" customWidth="1"/>
    <col min="19" max="19" width="18.140625" style="1" bestFit="1" customWidth="1"/>
    <col min="20" max="21" width="18.140625" style="1" hidden="1" customWidth="1"/>
    <col min="22" max="23" width="9.7109375" style="1" hidden="1" customWidth="1"/>
    <col min="24" max="24" width="9.140625" style="1"/>
    <col min="25" max="29" width="9.140625" style="1" hidden="1" customWidth="1"/>
    <col min="30" max="30" width="18.140625" style="1" bestFit="1" customWidth="1"/>
    <col min="31" max="32" width="18.140625" style="1" hidden="1" customWidth="1"/>
    <col min="33" max="34" width="9.7109375" style="1" hidden="1" customWidth="1"/>
    <col min="35" max="16384" width="9.140625" style="1"/>
  </cols>
  <sheetData>
    <row r="1" spans="1:34" x14ac:dyDescent="0.25">
      <c r="A1" s="6" t="s">
        <v>77</v>
      </c>
      <c r="D1" s="4" t="s">
        <v>17</v>
      </c>
    </row>
    <row r="2" spans="1:34" x14ac:dyDescent="0.25">
      <c r="A2" s="9" t="s">
        <v>0</v>
      </c>
    </row>
    <row r="3" spans="1:34" x14ac:dyDescent="0.25">
      <c r="D3" s="3" t="s">
        <v>1</v>
      </c>
    </row>
    <row r="4" spans="1:34" x14ac:dyDescent="0.25">
      <c r="A4" s="10"/>
      <c r="D4" s="6" t="s">
        <v>72</v>
      </c>
      <c r="K4" s="12"/>
      <c r="O4" s="11"/>
      <c r="P4" s="11"/>
      <c r="Q4" s="11"/>
      <c r="R4" s="12"/>
    </row>
    <row r="5" spans="1:34" x14ac:dyDescent="0.25">
      <c r="K5" s="12"/>
      <c r="O5" s="11"/>
      <c r="P5" s="11"/>
      <c r="Q5" s="11"/>
      <c r="R5" s="12"/>
    </row>
    <row r="6" spans="1:34" x14ac:dyDescent="0.25">
      <c r="A6" s="1" t="s">
        <v>2</v>
      </c>
      <c r="B6" s="2" t="s">
        <v>80</v>
      </c>
      <c r="C6" s="2" t="s">
        <v>4</v>
      </c>
      <c r="D6" s="2" t="s">
        <v>5</v>
      </c>
      <c r="E6" s="2" t="s">
        <v>6</v>
      </c>
      <c r="F6" s="1" t="s">
        <v>76</v>
      </c>
      <c r="G6" s="2" t="s">
        <v>7</v>
      </c>
      <c r="H6" s="2" t="s">
        <v>8</v>
      </c>
      <c r="I6" s="5" t="s">
        <v>81</v>
      </c>
      <c r="J6" s="8" t="s">
        <v>2</v>
      </c>
      <c r="K6" s="2" t="s">
        <v>3</v>
      </c>
      <c r="L6" s="1" t="s">
        <v>57</v>
      </c>
      <c r="M6" s="1" t="s">
        <v>42</v>
      </c>
      <c r="N6" s="1" t="s">
        <v>56</v>
      </c>
      <c r="O6" s="1" t="s">
        <v>73</v>
      </c>
      <c r="P6" s="1" t="s">
        <v>73</v>
      </c>
      <c r="Q6" s="1" t="s">
        <v>73</v>
      </c>
      <c r="R6" s="2" t="s">
        <v>65</v>
      </c>
      <c r="S6" s="1" t="s">
        <v>64</v>
      </c>
      <c r="T6" s="1" t="s">
        <v>64</v>
      </c>
      <c r="U6" s="1" t="s">
        <v>64</v>
      </c>
      <c r="V6" s="11" t="s">
        <v>68</v>
      </c>
      <c r="W6" s="11"/>
      <c r="X6" s="1" t="s">
        <v>69</v>
      </c>
      <c r="Y6" s="1" t="s">
        <v>69</v>
      </c>
      <c r="Z6" s="1" t="s">
        <v>69</v>
      </c>
      <c r="AA6" s="11" t="s">
        <v>74</v>
      </c>
      <c r="AB6" s="11"/>
      <c r="AC6" s="11"/>
      <c r="AD6" s="24" t="s">
        <v>64</v>
      </c>
      <c r="AE6" s="1" t="s">
        <v>64</v>
      </c>
      <c r="AF6" s="1" t="s">
        <v>64</v>
      </c>
      <c r="AG6" s="11" t="s">
        <v>64</v>
      </c>
      <c r="AH6" s="11"/>
    </row>
    <row r="7" spans="1:34" x14ac:dyDescent="0.25">
      <c r="B7" s="2"/>
      <c r="C7" s="2" t="s">
        <v>10</v>
      </c>
      <c r="D7" s="2"/>
      <c r="E7" s="2"/>
      <c r="F7" s="2" t="s">
        <v>35</v>
      </c>
      <c r="G7" s="2"/>
      <c r="H7" s="2"/>
      <c r="I7" s="7" t="s">
        <v>9</v>
      </c>
      <c r="K7" s="2" t="s">
        <v>9</v>
      </c>
      <c r="L7" s="1" t="s">
        <v>58</v>
      </c>
      <c r="M7" s="1" t="s">
        <v>43</v>
      </c>
      <c r="O7" s="1" t="s">
        <v>66</v>
      </c>
      <c r="P7" s="1" t="s">
        <v>66</v>
      </c>
      <c r="Q7" s="1" t="s">
        <v>66</v>
      </c>
      <c r="R7" s="2" t="s">
        <v>66</v>
      </c>
      <c r="S7" s="1" t="s">
        <v>51</v>
      </c>
      <c r="T7" s="1" t="s">
        <v>51</v>
      </c>
      <c r="U7" s="1" t="s">
        <v>51</v>
      </c>
      <c r="V7" s="11" t="s">
        <v>51</v>
      </c>
      <c r="W7" s="11"/>
      <c r="X7" s="13" t="s">
        <v>70</v>
      </c>
      <c r="Y7" s="13" t="s">
        <v>70</v>
      </c>
      <c r="Z7" s="13" t="s">
        <v>70</v>
      </c>
      <c r="AA7" s="20" t="s">
        <v>67</v>
      </c>
      <c r="AB7" s="11"/>
      <c r="AC7" s="11"/>
      <c r="AD7" s="24" t="s">
        <v>75</v>
      </c>
      <c r="AE7" s="1" t="s">
        <v>75</v>
      </c>
      <c r="AF7" s="1" t="s">
        <v>75</v>
      </c>
      <c r="AG7" s="11" t="s">
        <v>75</v>
      </c>
      <c r="AH7" s="11"/>
    </row>
    <row r="8" spans="1:34" x14ac:dyDescent="0.25">
      <c r="F8" s="2"/>
      <c r="I8" s="7" t="s">
        <v>38</v>
      </c>
      <c r="K8" s="12"/>
      <c r="L8" s="1" t="s">
        <v>59</v>
      </c>
      <c r="M8" s="1" t="s">
        <v>44</v>
      </c>
      <c r="O8" s="1" t="s">
        <v>51</v>
      </c>
      <c r="P8" s="1" t="s">
        <v>51</v>
      </c>
      <c r="Q8" s="1" t="s">
        <v>51</v>
      </c>
      <c r="R8" s="8" t="s">
        <v>51</v>
      </c>
      <c r="S8" s="1" t="s">
        <v>52</v>
      </c>
      <c r="T8" s="1" t="s">
        <v>53</v>
      </c>
      <c r="U8" s="1" t="s">
        <v>54</v>
      </c>
      <c r="V8" s="20" t="s">
        <v>67</v>
      </c>
      <c r="W8" s="11"/>
      <c r="X8" s="1" t="s">
        <v>71</v>
      </c>
      <c r="Y8" s="1" t="s">
        <v>71</v>
      </c>
      <c r="Z8" s="1" t="s">
        <v>71</v>
      </c>
      <c r="AA8" s="6"/>
      <c r="AD8" s="24" t="s">
        <v>52</v>
      </c>
      <c r="AE8" s="1" t="s">
        <v>53</v>
      </c>
      <c r="AF8" s="1" t="s">
        <v>54</v>
      </c>
      <c r="AG8" s="20" t="s">
        <v>67</v>
      </c>
      <c r="AH8" s="11"/>
    </row>
    <row r="9" spans="1:34" x14ac:dyDescent="0.25">
      <c r="F9" s="2"/>
      <c r="L9" s="1" t="s">
        <v>9</v>
      </c>
      <c r="O9" s="1" t="s">
        <v>52</v>
      </c>
      <c r="P9" s="1" t="s">
        <v>53</v>
      </c>
      <c r="Q9" s="1" t="s">
        <v>54</v>
      </c>
      <c r="R9" s="19" t="s">
        <v>67</v>
      </c>
      <c r="X9" s="1" t="s">
        <v>52</v>
      </c>
      <c r="Y9" s="1" t="s">
        <v>53</v>
      </c>
      <c r="Z9" s="1" t="s">
        <v>54</v>
      </c>
    </row>
    <row r="10" spans="1:34" x14ac:dyDescent="0.25">
      <c r="A10" s="1">
        <v>1</v>
      </c>
      <c r="B10" s="1" t="s">
        <v>25</v>
      </c>
      <c r="C10" s="1" t="s">
        <v>26</v>
      </c>
      <c r="D10" s="1" t="s">
        <v>30</v>
      </c>
      <c r="E10" s="1" t="s">
        <v>30</v>
      </c>
      <c r="F10" s="1" t="s">
        <v>27</v>
      </c>
      <c r="G10" s="1" t="s">
        <v>79</v>
      </c>
      <c r="H10" s="1">
        <v>1</v>
      </c>
      <c r="I10" s="7">
        <v>43330</v>
      </c>
      <c r="J10" s="8">
        <v>1</v>
      </c>
      <c r="K10" s="1" t="s">
        <v>25</v>
      </c>
      <c r="L10" s="1" t="s">
        <v>63</v>
      </c>
      <c r="M10" s="1">
        <v>1981</v>
      </c>
      <c r="N10" s="1">
        <v>2019</v>
      </c>
      <c r="O10" s="14">
        <v>0.65</v>
      </c>
      <c r="P10" s="1">
        <v>0.34799999999999998</v>
      </c>
      <c r="Q10" s="1">
        <v>0.11899999999999999</v>
      </c>
      <c r="R10" s="14">
        <f xml:space="preserve"> SUM(O10:Q10)</f>
        <v>1.117</v>
      </c>
      <c r="S10" s="14">
        <v>0.65</v>
      </c>
      <c r="T10" s="1">
        <v>0.34799999999999998</v>
      </c>
      <c r="U10" s="1">
        <v>0.11899999999999999</v>
      </c>
      <c r="V10" s="21">
        <f xml:space="preserve"> SUM(S10:U10)</f>
        <v>1.117</v>
      </c>
      <c r="W10" s="11"/>
      <c r="X10" s="22">
        <f xml:space="preserve"> S10/O10</f>
        <v>1</v>
      </c>
      <c r="Y10" s="22">
        <f xml:space="preserve"> T10/P10</f>
        <v>1</v>
      </c>
      <c r="Z10" s="22">
        <f xml:space="preserve"> U10/Q10</f>
        <v>1</v>
      </c>
      <c r="AB10" s="22">
        <f xml:space="preserve"> V10/R10</f>
        <v>1</v>
      </c>
      <c r="AD10" s="25">
        <f xml:space="preserve"> $I10/S10</f>
        <v>66661.538461538454</v>
      </c>
      <c r="AE10" s="7">
        <f t="shared" ref="AE10" si="0" xml:space="preserve"> $I10/T10</f>
        <v>124511.49425287357</v>
      </c>
      <c r="AF10" s="7">
        <f t="shared" ref="AF10" si="1" xml:space="preserve"> $I10/U10</f>
        <v>364117.64705882355</v>
      </c>
      <c r="AG10" s="23">
        <f xml:space="preserve"> $I10/V10</f>
        <v>38791.40555058192</v>
      </c>
      <c r="AH10" s="11"/>
    </row>
    <row r="11" spans="1:34" x14ac:dyDescent="0.25">
      <c r="F11" s="1" t="s">
        <v>28</v>
      </c>
      <c r="G11" s="1" t="s">
        <v>41</v>
      </c>
      <c r="K11" s="1"/>
      <c r="M11" s="1" t="s">
        <v>45</v>
      </c>
      <c r="R11" s="1"/>
      <c r="V11" s="6"/>
    </row>
    <row r="12" spans="1:34" x14ac:dyDescent="0.25">
      <c r="K12" s="1"/>
      <c r="M12" s="1" t="s">
        <v>46</v>
      </c>
      <c r="R12" s="1"/>
      <c r="V12" s="6"/>
    </row>
    <row r="13" spans="1:34" x14ac:dyDescent="0.25">
      <c r="F13" s="2"/>
      <c r="R13" s="19"/>
    </row>
    <row r="14" spans="1:34" x14ac:dyDescent="0.25">
      <c r="A14" s="1">
        <v>2</v>
      </c>
      <c r="B14" s="1" t="s">
        <v>11</v>
      </c>
      <c r="C14" s="1" t="s">
        <v>12</v>
      </c>
      <c r="D14" s="1" t="s">
        <v>18</v>
      </c>
      <c r="E14" s="1" t="s">
        <v>19</v>
      </c>
      <c r="F14" s="1" t="s">
        <v>36</v>
      </c>
      <c r="G14" s="1" t="s">
        <v>79</v>
      </c>
      <c r="H14" s="1">
        <v>1</v>
      </c>
      <c r="I14" s="7">
        <v>150000</v>
      </c>
      <c r="J14" s="8">
        <v>2</v>
      </c>
      <c r="K14" s="1" t="s">
        <v>11</v>
      </c>
      <c r="L14" s="1" t="s">
        <v>60</v>
      </c>
      <c r="M14" s="1">
        <v>2000</v>
      </c>
      <c r="N14" s="1">
        <v>2019</v>
      </c>
      <c r="O14" s="1">
        <v>2.31</v>
      </c>
      <c r="P14" s="14">
        <v>9.0999999999999998E-2</v>
      </c>
      <c r="Q14" s="1">
        <v>0.16400000000000001</v>
      </c>
      <c r="R14" s="14">
        <f xml:space="preserve"> SUM(O14:Q14)</f>
        <v>2.5650000000000004</v>
      </c>
      <c r="S14" s="1">
        <v>1.94</v>
      </c>
      <c r="T14" s="1">
        <v>8.8400000000000006E-2</v>
      </c>
      <c r="U14" s="16">
        <v>9.1999999999999998E-2</v>
      </c>
      <c r="V14" s="21">
        <f xml:space="preserve"> SUM(S14:U14)</f>
        <v>2.1204000000000001</v>
      </c>
      <c r="W14" s="11"/>
      <c r="X14" s="22">
        <f xml:space="preserve"> S14/O14</f>
        <v>0.83982683982683981</v>
      </c>
      <c r="Y14" s="22">
        <f xml:space="preserve"> T14/P14</f>
        <v>0.97142857142857153</v>
      </c>
      <c r="Z14" s="22">
        <f xml:space="preserve"> U14/Q14</f>
        <v>0.5609756097560975</v>
      </c>
      <c r="AB14" s="22">
        <f xml:space="preserve"> V14/R14</f>
        <v>0.82666666666666655</v>
      </c>
      <c r="AD14" s="25">
        <f xml:space="preserve"> $I14/S14</f>
        <v>77319.587628865978</v>
      </c>
      <c r="AE14" s="7">
        <f t="shared" ref="AE14" si="2" xml:space="preserve"> $I14/T14</f>
        <v>1696832.5791855203</v>
      </c>
      <c r="AF14" s="7">
        <f t="shared" ref="AF14" si="3" xml:space="preserve"> $I14/U14</f>
        <v>1630434.7826086958</v>
      </c>
      <c r="AG14" s="23">
        <f xml:space="preserve"> $I14/V14</f>
        <v>70741.369552914548</v>
      </c>
      <c r="AH14" s="11"/>
    </row>
    <row r="15" spans="1:34" x14ac:dyDescent="0.25">
      <c r="F15" s="2"/>
      <c r="R15" s="19"/>
    </row>
    <row r="16" spans="1:34" x14ac:dyDescent="0.25">
      <c r="A16" s="1">
        <v>3</v>
      </c>
      <c r="B16" s="1" t="s">
        <v>31</v>
      </c>
      <c r="C16" s="1" t="s">
        <v>26</v>
      </c>
      <c r="D16" s="1" t="s">
        <v>30</v>
      </c>
      <c r="E16" s="1" t="s">
        <v>30</v>
      </c>
      <c r="F16" s="1" t="s">
        <v>33</v>
      </c>
      <c r="G16" s="1" t="s">
        <v>79</v>
      </c>
      <c r="H16" s="1">
        <v>1</v>
      </c>
      <c r="I16" s="7">
        <v>1400000</v>
      </c>
      <c r="J16" s="8">
        <v>3</v>
      </c>
      <c r="K16" s="1" t="s">
        <v>31</v>
      </c>
      <c r="L16" s="1" t="s">
        <v>60</v>
      </c>
      <c r="M16" s="1">
        <v>1998</v>
      </c>
      <c r="N16" s="1">
        <v>2019</v>
      </c>
      <c r="O16" s="1">
        <v>8.6199999999999992</v>
      </c>
      <c r="P16" s="1">
        <v>0.18099999999999999</v>
      </c>
      <c r="Q16" s="1">
        <v>0.46300000000000002</v>
      </c>
      <c r="R16" s="14">
        <f xml:space="preserve"> SUM(O16:Q16)</f>
        <v>9.2639999999999976</v>
      </c>
      <c r="S16" s="1">
        <v>7.81</v>
      </c>
      <c r="T16" s="1">
        <v>0.16900000000000001</v>
      </c>
      <c r="U16" s="1">
        <v>0.39800000000000002</v>
      </c>
      <c r="V16" s="21">
        <f xml:space="preserve"> SUM(S16:U16)</f>
        <v>8.3769999999999989</v>
      </c>
      <c r="W16" s="11"/>
      <c r="X16" s="22">
        <f xml:space="preserve"> S16/O16</f>
        <v>0.90603248259860791</v>
      </c>
      <c r="Y16" s="22">
        <f xml:space="preserve"> T16/P16</f>
        <v>0.93370165745856359</v>
      </c>
      <c r="Z16" s="22">
        <f xml:space="preserve"> U16/Q16</f>
        <v>0.85961123110151183</v>
      </c>
      <c r="AB16" s="22">
        <f xml:space="preserve"> V16/R16</f>
        <v>0.90425302245250438</v>
      </c>
      <c r="AD16" s="25">
        <f xml:space="preserve"> $I16/S16</f>
        <v>179257.36235595393</v>
      </c>
      <c r="AE16" s="7">
        <f t="shared" ref="AE16" si="4" xml:space="preserve"> $I16/T16</f>
        <v>8284023.6686390527</v>
      </c>
      <c r="AF16" s="7">
        <f t="shared" ref="AF16" si="5" xml:space="preserve"> $I16/U16</f>
        <v>3517587.9396984922</v>
      </c>
      <c r="AG16" s="23">
        <f xml:space="preserve"> $I16/V16</f>
        <v>167124.26883132389</v>
      </c>
      <c r="AH16" s="11"/>
    </row>
    <row r="17" spans="1:34" x14ac:dyDescent="0.25">
      <c r="B17" s="1" t="s">
        <v>32</v>
      </c>
      <c r="F17" s="1" t="s">
        <v>34</v>
      </c>
      <c r="G17" s="1" t="s">
        <v>16</v>
      </c>
      <c r="K17" s="1" t="s">
        <v>32</v>
      </c>
      <c r="M17" s="1" t="s">
        <v>48</v>
      </c>
      <c r="R17" s="1"/>
      <c r="V17" s="6"/>
    </row>
    <row r="18" spans="1:34" x14ac:dyDescent="0.25">
      <c r="K18" s="1"/>
      <c r="M18" s="1" t="s">
        <v>47</v>
      </c>
      <c r="R18" s="1"/>
      <c r="V18" s="6"/>
    </row>
    <row r="19" spans="1:34" x14ac:dyDescent="0.25">
      <c r="F19" s="2"/>
      <c r="R19" s="19"/>
    </row>
    <row r="20" spans="1:34" x14ac:dyDescent="0.25">
      <c r="A20" s="1">
        <v>4</v>
      </c>
      <c r="B20" s="1" t="s">
        <v>29</v>
      </c>
      <c r="C20" s="1" t="s">
        <v>26</v>
      </c>
      <c r="D20" s="1" t="s">
        <v>30</v>
      </c>
      <c r="E20" s="1" t="s">
        <v>30</v>
      </c>
      <c r="F20" s="1" t="s">
        <v>37</v>
      </c>
      <c r="G20" s="1" t="s">
        <v>79</v>
      </c>
      <c r="H20" s="1">
        <v>1</v>
      </c>
      <c r="I20" s="7">
        <v>72621</v>
      </c>
      <c r="J20" s="8">
        <v>4</v>
      </c>
      <c r="K20" s="1" t="s">
        <v>29</v>
      </c>
      <c r="L20" s="1" t="s">
        <v>63</v>
      </c>
      <c r="M20" s="1">
        <v>1998</v>
      </c>
      <c r="N20" s="1">
        <v>2019</v>
      </c>
      <c r="O20" s="17">
        <f xml:space="preserve"> (54*0.334 + 97*0.249 + 36*0.869)/SUM(54,97,36)</f>
        <v>0.39290374331550804</v>
      </c>
      <c r="P20" s="18">
        <f xml:space="preserve"> (54*0.12 + 97*0.052 + 36*0.121)/SUM(54,97,36)</f>
        <v>8.491978609625668E-2</v>
      </c>
      <c r="Q20" s="18">
        <f xml:space="preserve"> (54*0.024 + 97*0.026 + 36*0.084)/SUM(54,97,36)</f>
        <v>3.6588235294117644E-2</v>
      </c>
      <c r="R20" s="14">
        <f xml:space="preserve"> SUM(O20:Q20)</f>
        <v>0.51441176470588235</v>
      </c>
      <c r="S20" s="17">
        <f xml:space="preserve"> (54*0.334 + 97*0.249 + 36*0.869)/SUM(54,97,36)</f>
        <v>0.39290374331550804</v>
      </c>
      <c r="T20" s="18">
        <f xml:space="preserve"> (54*0.12 + 97*0.052 + 36*0.121)/SUM(54,97,36)</f>
        <v>8.491978609625668E-2</v>
      </c>
      <c r="U20" s="18">
        <f xml:space="preserve"> (54*0.024 + 97*0.026 + 36*0.084)/SUM(54,97,36)</f>
        <v>3.6588235294117644E-2</v>
      </c>
      <c r="V20" s="21">
        <f xml:space="preserve"> SUM(S20:U20)</f>
        <v>0.51441176470588235</v>
      </c>
      <c r="W20" s="11"/>
      <c r="X20" s="22">
        <f xml:space="preserve"> S20/O20</f>
        <v>1</v>
      </c>
      <c r="Y20" s="22">
        <f xml:space="preserve"> T20/P20</f>
        <v>1</v>
      </c>
      <c r="Z20" s="22">
        <f xml:space="preserve"> U20/Q20</f>
        <v>1</v>
      </c>
      <c r="AB20" s="22">
        <f xml:space="preserve"> V20/R20</f>
        <v>1</v>
      </c>
      <c r="AD20" s="25">
        <f xml:space="preserve"> $I20/S20</f>
        <v>184831.52994977747</v>
      </c>
      <c r="AE20" s="7">
        <f t="shared" ref="AE20" si="6" xml:space="preserve"> $I20/T20</f>
        <v>855171.72544080613</v>
      </c>
      <c r="AF20" s="7">
        <f t="shared" ref="AF20" si="7" xml:space="preserve"> $I20/U20</f>
        <v>1984818.3279742766</v>
      </c>
      <c r="AG20" s="23">
        <f xml:space="preserve"> $I20/V20</f>
        <v>141172.8987993139</v>
      </c>
      <c r="AH20" s="11"/>
    </row>
    <row r="21" spans="1:34" x14ac:dyDescent="0.25">
      <c r="B21" s="1" t="s">
        <v>39</v>
      </c>
      <c r="G21" s="1" t="s">
        <v>41</v>
      </c>
      <c r="K21" s="1" t="s">
        <v>39</v>
      </c>
      <c r="M21" s="1" t="s">
        <v>78</v>
      </c>
      <c r="O21" s="6"/>
      <c r="R21" s="1"/>
      <c r="V21" s="6"/>
    </row>
    <row r="22" spans="1:34" x14ac:dyDescent="0.25">
      <c r="B22" s="1" t="s">
        <v>40</v>
      </c>
      <c r="K22" s="1" t="s">
        <v>40</v>
      </c>
      <c r="M22" s="1" t="s">
        <v>49</v>
      </c>
      <c r="R22" s="1"/>
      <c r="V22" s="6"/>
    </row>
    <row r="23" spans="1:34" x14ac:dyDescent="0.25">
      <c r="K23" s="1"/>
      <c r="M23" s="1" t="s">
        <v>50</v>
      </c>
      <c r="R23" s="1"/>
      <c r="V23" s="6"/>
    </row>
    <row r="24" spans="1:34" x14ac:dyDescent="0.25">
      <c r="F24" s="2"/>
      <c r="R24" s="19"/>
    </row>
    <row r="25" spans="1:34" x14ac:dyDescent="0.25">
      <c r="A25" s="1">
        <v>5</v>
      </c>
      <c r="B25" s="1" t="s">
        <v>14</v>
      </c>
      <c r="C25" s="1" t="s">
        <v>12</v>
      </c>
      <c r="D25" s="13" t="s">
        <v>13</v>
      </c>
      <c r="E25" s="1" t="s">
        <v>15</v>
      </c>
      <c r="F25" s="1" t="s">
        <v>36</v>
      </c>
      <c r="G25" s="1" t="s">
        <v>79</v>
      </c>
      <c r="H25" s="1">
        <v>1</v>
      </c>
      <c r="I25" s="7">
        <f>AVERAGE(70000, 70000, 50000)</f>
        <v>63333.333333333336</v>
      </c>
      <c r="J25" s="8">
        <v>5</v>
      </c>
      <c r="K25" s="1" t="s">
        <v>14</v>
      </c>
      <c r="L25" s="1" t="s">
        <v>60</v>
      </c>
      <c r="M25" s="1">
        <v>2000</v>
      </c>
      <c r="N25" s="1">
        <v>2019</v>
      </c>
      <c r="O25" s="14">
        <f xml:space="preserve"> AVERAGE(0.484, 0.332, 0.112)</f>
        <v>0.30933333333333335</v>
      </c>
      <c r="P25" s="16">
        <f xml:space="preserve"> AVERAGE(0.02, 0.014, 0.009)</f>
        <v>1.4333333333333335E-2</v>
      </c>
      <c r="Q25" s="16">
        <f xml:space="preserve"> AVERAGE(0.056, 0.039, 0.026)</f>
        <v>4.0333333333333332E-2</v>
      </c>
      <c r="R25" s="14">
        <f xml:space="preserve"> SUM(O25:Q25)</f>
        <v>0.36399999999999999</v>
      </c>
      <c r="S25" s="14">
        <f xml:space="preserve"> AVERAGE(0.45, 0.309, 0.1019)</f>
        <v>0.28696666666666665</v>
      </c>
      <c r="T25" s="16">
        <f xml:space="preserve"> AVERAGE(0.0196, 0.0136, 0.0084)</f>
        <v>1.3866666666666666E-2</v>
      </c>
      <c r="U25" s="16">
        <f xml:space="preserve"> AVERAGE(0.0533, 0.0369, 0.025)</f>
        <v>3.8399999999999997E-2</v>
      </c>
      <c r="V25" s="21">
        <f xml:space="preserve"> SUM(S25:U25)</f>
        <v>0.33923333333333328</v>
      </c>
      <c r="W25" s="11"/>
      <c r="X25" s="22">
        <f xml:space="preserve"> S25/O25</f>
        <v>0.92769396551724126</v>
      </c>
      <c r="Y25" s="22">
        <f xml:space="preserve"> T25/P25</f>
        <v>0.96744186046511615</v>
      </c>
      <c r="Z25" s="22">
        <f xml:space="preserve"> U25/Q25</f>
        <v>0.95206611570247923</v>
      </c>
      <c r="AB25" s="22">
        <f xml:space="preserve"> V25/R25</f>
        <v>0.93195970695970687</v>
      </c>
      <c r="AD25" s="25">
        <f xml:space="preserve"> $I25/S25</f>
        <v>220699.26820768966</v>
      </c>
      <c r="AE25" s="7">
        <f t="shared" ref="AE25:AF25" si="8" xml:space="preserve"> $I25/T25</f>
        <v>4567307.692307693</v>
      </c>
      <c r="AF25" s="7">
        <f t="shared" si="8"/>
        <v>1649305.5555555557</v>
      </c>
      <c r="AG25" s="23">
        <f xml:space="preserve"> $I25/V25</f>
        <v>186695.48983000888</v>
      </c>
      <c r="AH25" s="11"/>
    </row>
    <row r="26" spans="1:34" x14ac:dyDescent="0.25">
      <c r="K26" s="1"/>
      <c r="R26" s="1"/>
      <c r="V26" s="6"/>
    </row>
    <row r="27" spans="1:34" x14ac:dyDescent="0.25">
      <c r="A27" s="1">
        <v>6</v>
      </c>
      <c r="B27" s="1" t="s">
        <v>21</v>
      </c>
      <c r="C27" s="1" t="s">
        <v>82</v>
      </c>
      <c r="D27" s="13">
        <v>4</v>
      </c>
      <c r="E27" s="13" t="s">
        <v>83</v>
      </c>
      <c r="F27" s="1" t="s">
        <v>36</v>
      </c>
      <c r="G27" s="1" t="s">
        <v>79</v>
      </c>
      <c r="H27" s="1">
        <v>1</v>
      </c>
      <c r="I27" s="7">
        <v>69775</v>
      </c>
      <c r="J27" s="8">
        <v>6</v>
      </c>
      <c r="K27" s="1" t="s">
        <v>21</v>
      </c>
      <c r="L27" s="1" t="s">
        <v>60</v>
      </c>
      <c r="M27" s="1">
        <v>1992</v>
      </c>
      <c r="N27" s="1">
        <v>2019</v>
      </c>
      <c r="O27" s="1">
        <v>0.24099999999999999</v>
      </c>
      <c r="P27" s="14">
        <v>0.01</v>
      </c>
      <c r="Q27" s="1">
        <v>2.5000000000000001E-2</v>
      </c>
      <c r="R27" s="14">
        <f xml:space="preserve"> SUM(O27:Q27)</f>
        <v>0.27600000000000002</v>
      </c>
      <c r="S27" s="1">
        <v>0.23100000000000001</v>
      </c>
      <c r="T27" s="14">
        <v>0.01</v>
      </c>
      <c r="U27" s="1">
        <v>2.4E-2</v>
      </c>
      <c r="V27" s="21">
        <f xml:space="preserve"> SUM(S27:U27)</f>
        <v>0.26500000000000001</v>
      </c>
      <c r="W27" s="11"/>
      <c r="X27" s="22">
        <f xml:space="preserve"> S27/O27</f>
        <v>0.95850622406639008</v>
      </c>
      <c r="Y27" s="22">
        <f xml:space="preserve"> T27/P27</f>
        <v>1</v>
      </c>
      <c r="Z27" s="22">
        <f xml:space="preserve"> U27/Q27</f>
        <v>0.96</v>
      </c>
      <c r="AB27" s="22">
        <f xml:space="preserve"> V27/R27</f>
        <v>0.96014492753623182</v>
      </c>
      <c r="AD27" s="35">
        <f xml:space="preserve"> $I27/S27</f>
        <v>302056.27705627703</v>
      </c>
      <c r="AE27" s="26">
        <v>6765267</v>
      </c>
      <c r="AF27" s="26">
        <v>2947011</v>
      </c>
      <c r="AG27" s="23">
        <f xml:space="preserve"> $I27/V27</f>
        <v>263301.88679245283</v>
      </c>
      <c r="AH27" s="11"/>
    </row>
    <row r="28" spans="1:34" x14ac:dyDescent="0.25">
      <c r="I28" s="7">
        <v>74944</v>
      </c>
      <c r="K28" s="1"/>
      <c r="L28" s="1" t="s">
        <v>61</v>
      </c>
      <c r="M28" s="1" t="s">
        <v>55</v>
      </c>
      <c r="N28" s="1" t="s">
        <v>55</v>
      </c>
      <c r="O28" s="1">
        <v>0.24099999999999999</v>
      </c>
      <c r="P28" s="14">
        <v>0.01</v>
      </c>
      <c r="Q28" s="1">
        <v>2.5000000000000001E-2</v>
      </c>
      <c r="R28" s="14">
        <f t="shared" ref="R28:R29" si="9" xml:space="preserve"> SUM(O28:Q28)</f>
        <v>0.27600000000000002</v>
      </c>
      <c r="S28" s="1">
        <v>0.23100000000000001</v>
      </c>
      <c r="T28" s="14">
        <v>0.01</v>
      </c>
      <c r="U28" s="1">
        <v>2.4E-2</v>
      </c>
      <c r="V28" s="21">
        <f t="shared" ref="V28:V29" si="10" xml:space="preserve"> SUM(S28:U28)</f>
        <v>0.26500000000000001</v>
      </c>
      <c r="W28" s="11"/>
      <c r="X28" s="22">
        <f t="shared" ref="X28:X29" si="11" xml:space="preserve"> S28/O28</f>
        <v>0.95850622406639008</v>
      </c>
      <c r="AD28" s="35">
        <f t="shared" ref="AD28:AD29" si="12" xml:space="preserve"> $I28/S28</f>
        <v>324432.90043290041</v>
      </c>
    </row>
    <row r="29" spans="1:34" x14ac:dyDescent="0.25">
      <c r="I29" s="7">
        <v>76494</v>
      </c>
      <c r="K29" s="1"/>
      <c r="L29" s="1" t="s">
        <v>62</v>
      </c>
      <c r="M29" s="1" t="s">
        <v>55</v>
      </c>
      <c r="N29" s="1" t="s">
        <v>55</v>
      </c>
      <c r="O29" s="1">
        <v>0.24099999999999999</v>
      </c>
      <c r="P29" s="14">
        <v>0.01</v>
      </c>
      <c r="Q29" s="1">
        <v>2.5000000000000001E-2</v>
      </c>
      <c r="R29" s="14">
        <f t="shared" si="9"/>
        <v>0.27600000000000002</v>
      </c>
      <c r="S29" s="1">
        <v>0.23100000000000001</v>
      </c>
      <c r="T29" s="14">
        <v>0.01</v>
      </c>
      <c r="U29" s="1">
        <v>2.4E-2</v>
      </c>
      <c r="V29" s="21">
        <f t="shared" si="10"/>
        <v>0.26500000000000001</v>
      </c>
      <c r="W29" s="11"/>
      <c r="X29" s="22">
        <f t="shared" si="11"/>
        <v>0.95850622406639008</v>
      </c>
      <c r="AD29" s="35">
        <f t="shared" si="12"/>
        <v>331142.8571428571</v>
      </c>
    </row>
    <row r="30" spans="1:34" x14ac:dyDescent="0.25">
      <c r="H30" s="30" t="s">
        <v>90</v>
      </c>
      <c r="I30" s="31">
        <f xml:space="preserve"> AVERAGE(I27:I29)</f>
        <v>73737.666666666672</v>
      </c>
      <c r="K30" s="1"/>
      <c r="R30" s="1"/>
      <c r="V30" s="6"/>
      <c r="X30" s="34" t="s">
        <v>90</v>
      </c>
      <c r="AD30" s="32">
        <f xml:space="preserve"> AVERAGE(AD27:AD29)</f>
        <v>319210.67821067822</v>
      </c>
    </row>
    <row r="31" spans="1:34" x14ac:dyDescent="0.25">
      <c r="K31" s="1"/>
      <c r="R31" s="1"/>
      <c r="V31" s="6"/>
    </row>
    <row r="32" spans="1:34" x14ac:dyDescent="0.25">
      <c r="A32" s="1">
        <v>7</v>
      </c>
      <c r="B32" s="1" t="s">
        <v>20</v>
      </c>
      <c r="C32" s="1" t="s">
        <v>12</v>
      </c>
      <c r="D32" s="13" t="s">
        <v>13</v>
      </c>
      <c r="E32" s="1" t="s">
        <v>15</v>
      </c>
      <c r="F32" s="1" t="s">
        <v>36</v>
      </c>
      <c r="G32" s="1" t="s">
        <v>79</v>
      </c>
      <c r="H32" s="1">
        <v>1</v>
      </c>
      <c r="I32" s="7">
        <v>135000</v>
      </c>
      <c r="J32" s="8">
        <v>7</v>
      </c>
      <c r="K32" s="1" t="s">
        <v>20</v>
      </c>
      <c r="L32" s="1" t="s">
        <v>60</v>
      </c>
      <c r="M32" s="1">
        <v>1992</v>
      </c>
      <c r="N32" s="1">
        <v>2019</v>
      </c>
      <c r="O32" s="1">
        <v>0.249</v>
      </c>
      <c r="P32" s="14">
        <v>1.0999999999999999E-2</v>
      </c>
      <c r="Q32" s="14">
        <v>2.5000000000000001E-2</v>
      </c>
      <c r="R32" s="14">
        <f xml:space="preserve"> SUM(O32:Q32)</f>
        <v>0.28500000000000003</v>
      </c>
      <c r="S32" s="1">
        <v>0.23899999999999999</v>
      </c>
      <c r="T32" s="14">
        <v>1.0999999999999999E-2</v>
      </c>
      <c r="U32" s="14">
        <v>2.4E-2</v>
      </c>
      <c r="V32" s="21">
        <f xml:space="preserve"> SUM(S32:U32)</f>
        <v>0.27400000000000002</v>
      </c>
      <c r="W32" s="11"/>
      <c r="X32" s="22">
        <f t="shared" ref="X32:Z34" si="13" xml:space="preserve"> S32/O32</f>
        <v>0.95983935742971882</v>
      </c>
      <c r="Y32" s="22">
        <f t="shared" si="13"/>
        <v>1</v>
      </c>
      <c r="Z32" s="22">
        <f t="shared" si="13"/>
        <v>0.96</v>
      </c>
      <c r="AB32" s="22">
        <f xml:space="preserve"> V32/R32</f>
        <v>0.96140350877192982</v>
      </c>
      <c r="AD32" s="35">
        <f xml:space="preserve"> $I32/S32</f>
        <v>564853.55648535572</v>
      </c>
      <c r="AE32" s="7">
        <f t="shared" ref="AE32" si="14" xml:space="preserve"> $I32/T32</f>
        <v>12272727.272727273</v>
      </c>
      <c r="AF32" s="7">
        <f t="shared" ref="AF32" si="15" xml:space="preserve"> $I32/U32</f>
        <v>5625000</v>
      </c>
      <c r="AG32" s="23">
        <f xml:space="preserve"> $I32/V32</f>
        <v>492700.72992700728</v>
      </c>
      <c r="AH32" s="11"/>
    </row>
    <row r="33" spans="1:34" x14ac:dyDescent="0.25">
      <c r="I33" s="7">
        <v>145000</v>
      </c>
      <c r="K33" s="1"/>
      <c r="L33" s="1" t="s">
        <v>61</v>
      </c>
      <c r="M33" s="1" t="s">
        <v>55</v>
      </c>
      <c r="N33" s="1" t="s">
        <v>55</v>
      </c>
      <c r="O33" s="1">
        <v>0.249</v>
      </c>
      <c r="P33" s="14">
        <v>1.0999999999999999E-2</v>
      </c>
      <c r="Q33" s="14">
        <v>2.5000000000000001E-2</v>
      </c>
      <c r="R33" s="14">
        <f xml:space="preserve"> SUM(O33:Q33)</f>
        <v>0.28500000000000003</v>
      </c>
      <c r="S33" s="1">
        <v>0.23899999999999999</v>
      </c>
      <c r="T33" s="14">
        <v>1.0999999999999999E-2</v>
      </c>
      <c r="U33" s="14">
        <v>2.4E-2</v>
      </c>
      <c r="V33" s="21">
        <f t="shared" ref="V33:V34" si="16" xml:space="preserve"> SUM(S33:U33)</f>
        <v>0.27400000000000002</v>
      </c>
      <c r="W33" s="11"/>
      <c r="X33" s="22">
        <f t="shared" si="13"/>
        <v>0.95983935742971882</v>
      </c>
      <c r="Y33" s="22">
        <f t="shared" si="13"/>
        <v>1</v>
      </c>
      <c r="Z33" s="22">
        <f t="shared" si="13"/>
        <v>0.96</v>
      </c>
      <c r="AB33" s="22">
        <f xml:space="preserve"> V33/R33</f>
        <v>0.96140350877192982</v>
      </c>
      <c r="AD33" s="35">
        <f t="shared" ref="AD33:AD34" si="17" xml:space="preserve"> $I33/S33</f>
        <v>606694.56066945614</v>
      </c>
      <c r="AE33" s="7">
        <f t="shared" ref="AE33:AE34" si="18" xml:space="preserve"> $I33/T33</f>
        <v>13181818.181818184</v>
      </c>
      <c r="AF33" s="7">
        <f t="shared" ref="AF33:AF34" si="19" xml:space="preserve"> $I33/U33</f>
        <v>6041666.666666667</v>
      </c>
      <c r="AG33" s="23">
        <f t="shared" ref="AG33:AG34" si="20" xml:space="preserve"> $I33/V33</f>
        <v>529197.08029197075</v>
      </c>
      <c r="AH33" s="11"/>
    </row>
    <row r="34" spans="1:34" x14ac:dyDescent="0.25">
      <c r="I34" s="7">
        <v>148000</v>
      </c>
      <c r="K34" s="1"/>
      <c r="L34" s="1" t="s">
        <v>62</v>
      </c>
      <c r="M34" s="1" t="s">
        <v>55</v>
      </c>
      <c r="N34" s="1" t="s">
        <v>55</v>
      </c>
      <c r="O34" s="1">
        <v>0.249</v>
      </c>
      <c r="P34" s="14">
        <v>1.0999999999999999E-2</v>
      </c>
      <c r="Q34" s="14">
        <v>2.5000000000000001E-2</v>
      </c>
      <c r="R34" s="14">
        <f xml:space="preserve"> SUM(O34:Q34)</f>
        <v>0.28500000000000003</v>
      </c>
      <c r="S34" s="1">
        <v>0.23899999999999999</v>
      </c>
      <c r="T34" s="14">
        <v>1.0999999999999999E-2</v>
      </c>
      <c r="U34" s="14">
        <v>2.4E-2</v>
      </c>
      <c r="V34" s="21">
        <f t="shared" si="16"/>
        <v>0.27400000000000002</v>
      </c>
      <c r="W34" s="11"/>
      <c r="X34" s="22">
        <f t="shared" si="13"/>
        <v>0.95983935742971882</v>
      </c>
      <c r="Y34" s="22">
        <f t="shared" si="13"/>
        <v>1</v>
      </c>
      <c r="Z34" s="22">
        <f t="shared" si="13"/>
        <v>0.96</v>
      </c>
      <c r="AB34" s="22">
        <f xml:space="preserve"> V34/R34</f>
        <v>0.96140350877192982</v>
      </c>
      <c r="AD34" s="35">
        <f t="shared" si="17"/>
        <v>619246.86192468624</v>
      </c>
      <c r="AE34" s="7">
        <f t="shared" si="18"/>
        <v>13454545.454545455</v>
      </c>
      <c r="AF34" s="7">
        <f t="shared" si="19"/>
        <v>6166666.666666667</v>
      </c>
      <c r="AG34" s="23">
        <f t="shared" si="20"/>
        <v>540145.98540145985</v>
      </c>
      <c r="AH34" s="11"/>
    </row>
    <row r="35" spans="1:34" x14ac:dyDescent="0.25">
      <c r="H35" s="30" t="s">
        <v>90</v>
      </c>
      <c r="I35" s="31">
        <f xml:space="preserve"> AVERAGE(I32:I34)</f>
        <v>142666.66666666666</v>
      </c>
      <c r="K35" s="1"/>
      <c r="R35" s="1"/>
      <c r="V35" s="6"/>
      <c r="X35" s="34" t="s">
        <v>90</v>
      </c>
      <c r="Y35" s="30"/>
      <c r="Z35" s="30"/>
      <c r="AA35" s="30"/>
      <c r="AB35" s="30"/>
      <c r="AC35" s="30"/>
      <c r="AD35" s="32">
        <f xml:space="preserve"> AVERAGE(AD32:AD34)</f>
        <v>596931.65969316603</v>
      </c>
    </row>
    <row r="36" spans="1:34" x14ac:dyDescent="0.25">
      <c r="K36" s="1"/>
      <c r="R36" s="1"/>
      <c r="V36" s="6"/>
    </row>
    <row r="37" spans="1:34" x14ac:dyDescent="0.25">
      <c r="A37" s="1">
        <v>8</v>
      </c>
      <c r="B37" s="1" t="s">
        <v>22</v>
      </c>
      <c r="C37" s="1" t="s">
        <v>12</v>
      </c>
      <c r="D37" s="13" t="s">
        <v>23</v>
      </c>
      <c r="E37" s="15" t="s">
        <v>24</v>
      </c>
      <c r="F37" s="1" t="s">
        <v>36</v>
      </c>
      <c r="G37" s="1" t="s">
        <v>79</v>
      </c>
      <c r="H37" s="1">
        <v>1</v>
      </c>
      <c r="I37" s="7">
        <v>470000</v>
      </c>
      <c r="J37" s="8">
        <v>8</v>
      </c>
      <c r="K37" s="1" t="s">
        <v>22</v>
      </c>
      <c r="L37" s="1" t="s">
        <v>60</v>
      </c>
      <c r="M37" s="1">
        <v>1999</v>
      </c>
      <c r="N37" s="1">
        <v>2019</v>
      </c>
      <c r="O37" s="1">
        <v>0.74099999999999999</v>
      </c>
      <c r="P37" s="1">
        <v>3.6999999999999998E-2</v>
      </c>
      <c r="Q37" s="14">
        <v>0.06</v>
      </c>
      <c r="R37" s="14">
        <f xml:space="preserve"> SUM(O37:Q37)</f>
        <v>0.83800000000000008</v>
      </c>
      <c r="S37" s="14">
        <v>0.69989999999999997</v>
      </c>
      <c r="T37" s="1">
        <v>3.6400000000000002E-2</v>
      </c>
      <c r="U37" s="14">
        <v>5.7000000000000002E-2</v>
      </c>
      <c r="V37" s="21">
        <f xml:space="preserve"> SUM(S37:U37)</f>
        <v>0.79330000000000001</v>
      </c>
      <c r="W37" s="11"/>
      <c r="X37" s="22">
        <f t="shared" ref="X37:Z38" si="21" xml:space="preserve"> S37/O37</f>
        <v>0.94453441295546559</v>
      </c>
      <c r="Y37" s="22">
        <f t="shared" si="21"/>
        <v>0.98378378378378384</v>
      </c>
      <c r="Z37" s="22">
        <f t="shared" si="21"/>
        <v>0.95000000000000007</v>
      </c>
      <c r="AB37" s="22">
        <f xml:space="preserve"> V37/R37</f>
        <v>0.9466587112171837</v>
      </c>
      <c r="AD37" s="35">
        <f xml:space="preserve"> $I37/S37</f>
        <v>671524.50350050011</v>
      </c>
      <c r="AE37" s="7">
        <f t="shared" ref="AE37:AE38" si="22" xml:space="preserve"> $I37/T37</f>
        <v>12912087.912087912</v>
      </c>
      <c r="AF37" s="7">
        <f t="shared" ref="AF37:AF38" si="23" xml:space="preserve"> $I37/U37</f>
        <v>8245614.0350877186</v>
      </c>
      <c r="AG37" s="23">
        <f t="shared" ref="AG37:AG38" si="24" xml:space="preserve"> $I37/V37</f>
        <v>592461.86814572045</v>
      </c>
      <c r="AH37" s="11"/>
    </row>
    <row r="38" spans="1:34" x14ac:dyDescent="0.25">
      <c r="H38" s="1">
        <v>1</v>
      </c>
      <c r="I38" s="7">
        <v>540324</v>
      </c>
      <c r="K38" s="1"/>
      <c r="L38" s="1" t="s">
        <v>61</v>
      </c>
      <c r="M38" s="1">
        <v>1999</v>
      </c>
      <c r="N38" s="1">
        <v>2019</v>
      </c>
      <c r="O38" s="1">
        <v>0.74099999999999999</v>
      </c>
      <c r="P38" s="1">
        <v>3.6999999999999998E-2</v>
      </c>
      <c r="Q38" s="14">
        <v>0.06</v>
      </c>
      <c r="R38" s="14">
        <f xml:space="preserve"> SUM(O38:Q38)</f>
        <v>0.83800000000000008</v>
      </c>
      <c r="S38" s="14">
        <v>0.69989999999999997</v>
      </c>
      <c r="T38" s="1">
        <v>3.6400000000000002E-2</v>
      </c>
      <c r="U38" s="14">
        <v>5.7000000000000002E-2</v>
      </c>
      <c r="V38" s="21">
        <f xml:space="preserve"> SUM(S38:U38)</f>
        <v>0.79330000000000001</v>
      </c>
      <c r="W38" s="11"/>
      <c r="X38" s="22">
        <f t="shared" si="21"/>
        <v>0.94453441295546559</v>
      </c>
      <c r="Y38" s="22">
        <f t="shared" si="21"/>
        <v>0.98378378378378384</v>
      </c>
      <c r="Z38" s="22">
        <f t="shared" si="21"/>
        <v>0.95000000000000007</v>
      </c>
      <c r="AB38" s="22">
        <f xml:space="preserve"> V38/R38</f>
        <v>0.9466587112171837</v>
      </c>
      <c r="AD38" s="35">
        <f xml:space="preserve"> $I38/S38</f>
        <v>772001.71453064727</v>
      </c>
      <c r="AE38" s="7">
        <f t="shared" si="22"/>
        <v>14844065.934065932</v>
      </c>
      <c r="AF38" s="7">
        <f t="shared" si="23"/>
        <v>9479368.421052631</v>
      </c>
      <c r="AG38" s="23">
        <f t="shared" si="24"/>
        <v>681109.29030631541</v>
      </c>
      <c r="AH38" s="11"/>
    </row>
    <row r="39" spans="1:34" x14ac:dyDescent="0.25">
      <c r="H39" s="30" t="s">
        <v>90</v>
      </c>
      <c r="I39" s="31">
        <f xml:space="preserve"> AVERAGE(I37:I38)</f>
        <v>505162</v>
      </c>
      <c r="K39" s="1"/>
      <c r="R39" s="1"/>
      <c r="V39" s="6"/>
      <c r="X39" s="34" t="s">
        <v>90</v>
      </c>
      <c r="Y39" s="31">
        <f xml:space="preserve"> AVERAGE(Y37:Y38)</f>
        <v>0.98378378378378384</v>
      </c>
      <c r="AD39" s="32">
        <f xml:space="preserve"> AVERAGE(AD37:AD38)</f>
        <v>721763.10901557375</v>
      </c>
    </row>
    <row r="40" spans="1:34" x14ac:dyDescent="0.25">
      <c r="D40" s="13"/>
      <c r="K40" s="1"/>
      <c r="R40" s="1"/>
      <c r="V40" s="6"/>
    </row>
    <row r="41" spans="1:34" x14ac:dyDescent="0.25">
      <c r="K41" s="1"/>
      <c r="R41" s="1"/>
      <c r="V41" s="6"/>
    </row>
    <row r="42" spans="1:34" x14ac:dyDescent="0.25">
      <c r="I42" s="1"/>
      <c r="J42" s="1"/>
      <c r="K42" s="1"/>
      <c r="R42" s="1"/>
      <c r="AE42" s="7">
        <f t="shared" ref="AE42:AG43" si="25" xml:space="preserve"> $I37/T37</f>
        <v>12912087.912087912</v>
      </c>
      <c r="AF42" s="7">
        <f t="shared" si="25"/>
        <v>8245614.0350877186</v>
      </c>
      <c r="AG42" s="23">
        <f t="shared" si="25"/>
        <v>592461.86814572045</v>
      </c>
      <c r="AH42" s="11"/>
    </row>
    <row r="43" spans="1:34" x14ac:dyDescent="0.25">
      <c r="I43" s="1"/>
      <c r="J43" s="1"/>
      <c r="K43" s="1"/>
      <c r="R43" s="1"/>
      <c r="AE43" s="7">
        <f t="shared" si="25"/>
        <v>14844065.934065932</v>
      </c>
      <c r="AF43" s="7">
        <f t="shared" si="25"/>
        <v>9479368.421052631</v>
      </c>
      <c r="AG43" s="23">
        <f t="shared" si="25"/>
        <v>681109.29030631541</v>
      </c>
      <c r="AH43" s="11"/>
    </row>
    <row r="44" spans="1:34" x14ac:dyDescent="0.25">
      <c r="K44" s="1"/>
      <c r="Q44" s="14"/>
      <c r="R44" s="14"/>
      <c r="S44" s="14"/>
      <c r="U44" s="14"/>
      <c r="V44" s="21"/>
      <c r="W44" s="11"/>
      <c r="X44" s="22"/>
      <c r="Y44" s="22"/>
      <c r="Z44" s="22"/>
      <c r="AB44" s="22"/>
      <c r="AD44" s="7"/>
      <c r="AE44" s="7"/>
      <c r="AF44" s="7"/>
      <c r="AG44" s="23"/>
      <c r="AH44" s="11"/>
    </row>
    <row r="45" spans="1:34" x14ac:dyDescent="0.25">
      <c r="AE45" s="7">
        <f xml:space="preserve"> $I20/T20</f>
        <v>855171.72544080613</v>
      </c>
      <c r="AF45" s="7">
        <f xml:space="preserve"> $I20/U20</f>
        <v>1984818.3279742766</v>
      </c>
      <c r="AG45" s="23">
        <f xml:space="preserve"> $I20/V20</f>
        <v>141172.8987993139</v>
      </c>
      <c r="AH45" s="11"/>
    </row>
    <row r="49" spans="9:34" x14ac:dyDescent="0.25">
      <c r="K49" s="1"/>
      <c r="R49" s="1"/>
      <c r="V49" s="6"/>
    </row>
    <row r="50" spans="9:34" x14ac:dyDescent="0.25">
      <c r="I50" s="1"/>
      <c r="J50" s="1"/>
      <c r="K50" s="1"/>
      <c r="R50" s="1"/>
      <c r="AE50" s="7">
        <f xml:space="preserve"> $I10/T10</f>
        <v>124511.49425287357</v>
      </c>
      <c r="AF50" s="7">
        <f xml:space="preserve"> $I10/U10</f>
        <v>364117.64705882355</v>
      </c>
      <c r="AG50" s="23">
        <f xml:space="preserve"> $I10/V10</f>
        <v>38791.40555058192</v>
      </c>
      <c r="AH50" s="11"/>
    </row>
    <row r="51" spans="9:34" x14ac:dyDescent="0.25">
      <c r="I51" s="1"/>
      <c r="J51" s="1"/>
      <c r="K51" s="1"/>
      <c r="R51" s="1"/>
    </row>
    <row r="52" spans="9:34" x14ac:dyDescent="0.25">
      <c r="I52" s="1"/>
      <c r="J52" s="1"/>
      <c r="K52" s="1"/>
      <c r="R52" s="1"/>
    </row>
    <row r="53" spans="9:34" x14ac:dyDescent="0.25">
      <c r="K53" s="1"/>
      <c r="R53" s="1"/>
      <c r="V53" s="6"/>
    </row>
    <row r="54" spans="9:34" x14ac:dyDescent="0.25">
      <c r="I54" s="1"/>
      <c r="J54" s="1"/>
      <c r="K54" s="1"/>
      <c r="R54" s="1"/>
      <c r="AE54" s="7">
        <f xml:space="preserve"> $I16/T16</f>
        <v>8284023.6686390527</v>
      </c>
      <c r="AF54" s="7">
        <f xml:space="preserve"> $I16/U16</f>
        <v>3517587.9396984922</v>
      </c>
      <c r="AG54" s="23">
        <f xml:space="preserve"> $I16/V16</f>
        <v>167124.26883132389</v>
      </c>
      <c r="AH54" s="11"/>
    </row>
    <row r="55" spans="9:34" x14ac:dyDescent="0.25">
      <c r="I55" s="1"/>
      <c r="J55" s="1"/>
      <c r="K55" s="1"/>
      <c r="R55" s="1"/>
    </row>
    <row r="56" spans="9:34" x14ac:dyDescent="0.25">
      <c r="I56" s="1"/>
      <c r="J56" s="1"/>
      <c r="K56" s="1"/>
      <c r="R56" s="1"/>
    </row>
    <row r="57" spans="9:34" x14ac:dyDescent="0.25">
      <c r="K57" s="1"/>
      <c r="R57" s="1"/>
      <c r="V57" s="6"/>
    </row>
    <row r="58" spans="9:34" x14ac:dyDescent="0.25">
      <c r="I58" s="1"/>
      <c r="J58" s="1"/>
      <c r="K58" s="1"/>
      <c r="R58" s="1"/>
      <c r="AE58" s="7" t="e">
        <f>#REF! /#REF!</f>
        <v>#REF!</v>
      </c>
      <c r="AF58" s="7" t="e">
        <f>#REF! /#REF!</f>
        <v>#REF!</v>
      </c>
      <c r="AG58" s="23" t="e">
        <f>#REF! /#REF!</f>
        <v>#REF!</v>
      </c>
      <c r="AH58" s="11"/>
    </row>
    <row r="59" spans="9:34" x14ac:dyDescent="0.25">
      <c r="I59" s="1"/>
      <c r="J59" s="1"/>
      <c r="K59" s="1"/>
      <c r="R59" s="1"/>
    </row>
    <row r="60" spans="9:34" x14ac:dyDescent="0.25">
      <c r="I60" s="1"/>
      <c r="J60" s="1"/>
      <c r="K60" s="1"/>
      <c r="R60" s="1"/>
    </row>
    <row r="61" spans="9:34" x14ac:dyDescent="0.25">
      <c r="M61" s="13"/>
    </row>
  </sheetData>
  <pageMargins left="0.7" right="0.7" top="0.75" bottom="0.75" header="0.3" footer="0.3"/>
  <pageSetup scale="8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8" workbookViewId="0">
      <selection activeCell="B11" sqref="B11"/>
    </sheetView>
  </sheetViews>
  <sheetFormatPr defaultRowHeight="15" x14ac:dyDescent="0.25"/>
  <cols>
    <col min="1" max="1" width="9.7109375" bestFit="1" customWidth="1"/>
    <col min="6" max="6" width="12" style="27" bestFit="1" customWidth="1"/>
    <col min="7" max="7" width="19.140625" hidden="1" customWidth="1"/>
    <col min="8" max="8" width="8.28515625" customWidth="1"/>
    <col min="10" max="10" width="8.28515625" customWidth="1"/>
    <col min="11" max="11" width="13.5703125" bestFit="1" customWidth="1"/>
    <col min="12" max="12" width="11.7109375" customWidth="1"/>
    <col min="14" max="14" width="13" customWidth="1"/>
  </cols>
  <sheetData>
    <row r="1" spans="1:14" x14ac:dyDescent="0.25">
      <c r="A1" s="33" t="s">
        <v>110</v>
      </c>
    </row>
    <row r="2" spans="1:14" x14ac:dyDescent="0.25">
      <c r="A2" t="s">
        <v>96</v>
      </c>
    </row>
    <row r="3" spans="1:14" x14ac:dyDescent="0.25">
      <c r="A3" s="42">
        <v>42828</v>
      </c>
    </row>
    <row r="5" spans="1:14" x14ac:dyDescent="0.25">
      <c r="G5" s="27" t="s">
        <v>70</v>
      </c>
      <c r="N5" s="27"/>
    </row>
    <row r="6" spans="1:14" x14ac:dyDescent="0.25">
      <c r="A6" s="27"/>
      <c r="F6" s="27" t="s">
        <v>70</v>
      </c>
      <c r="G6" s="27" t="s">
        <v>71</v>
      </c>
      <c r="I6" s="43" t="s">
        <v>105</v>
      </c>
      <c r="K6" s="36" t="s">
        <v>97</v>
      </c>
      <c r="L6" s="36"/>
      <c r="N6" s="27"/>
    </row>
    <row r="7" spans="1:14" x14ac:dyDescent="0.25">
      <c r="A7" s="27"/>
      <c r="F7" s="27" t="s">
        <v>71</v>
      </c>
      <c r="G7" s="27" t="s">
        <v>75</v>
      </c>
      <c r="I7" s="43" t="s">
        <v>108</v>
      </c>
      <c r="K7" s="36" t="s">
        <v>107</v>
      </c>
      <c r="L7" s="36"/>
      <c r="N7" s="27"/>
    </row>
    <row r="8" spans="1:14" x14ac:dyDescent="0.25">
      <c r="A8" s="27"/>
      <c r="F8" s="46" t="s">
        <v>101</v>
      </c>
      <c r="G8" s="29" t="s">
        <v>89</v>
      </c>
      <c r="I8" s="43" t="s">
        <v>106</v>
      </c>
      <c r="K8" s="37"/>
      <c r="L8" s="38"/>
      <c r="N8" s="47" t="s">
        <v>100</v>
      </c>
    </row>
    <row r="9" spans="1:14" x14ac:dyDescent="0.25">
      <c r="A9" s="27" t="s">
        <v>2</v>
      </c>
      <c r="B9" t="s">
        <v>84</v>
      </c>
      <c r="F9" s="47"/>
      <c r="N9" s="47"/>
    </row>
    <row r="10" spans="1:14" x14ac:dyDescent="0.25">
      <c r="A10" s="27">
        <v>1</v>
      </c>
      <c r="B10" t="s">
        <v>86</v>
      </c>
      <c r="F10" s="28">
        <f xml:space="preserve"> Annual!AD10</f>
        <v>66661.538461538454</v>
      </c>
      <c r="G10" s="28">
        <f xml:space="preserve"> Annual!AG10</f>
        <v>38791.40555058192</v>
      </c>
      <c r="I10" s="45">
        <v>30</v>
      </c>
      <c r="K10" s="39" t="s">
        <v>98</v>
      </c>
      <c r="L10" s="39">
        <f xml:space="preserve"> 32356471.11 + 2821035.03</f>
        <v>35177506.140000001</v>
      </c>
      <c r="N10" s="28">
        <f t="shared" ref="N10:N17" si="0">$L$16</f>
        <v>152879.20964797915</v>
      </c>
    </row>
    <row r="11" spans="1:14" x14ac:dyDescent="0.25">
      <c r="A11" s="27">
        <v>2</v>
      </c>
      <c r="B11" t="s">
        <v>111</v>
      </c>
      <c r="F11" s="28">
        <f xml:space="preserve"> Annual!AD14</f>
        <v>77319.587628865978</v>
      </c>
      <c r="G11" s="28">
        <f xml:space="preserve"> Annual!AG14</f>
        <v>70741.369552914548</v>
      </c>
      <c r="I11" s="45">
        <v>18.600000000000001</v>
      </c>
      <c r="N11" s="28">
        <f t="shared" si="0"/>
        <v>152879.20964797915</v>
      </c>
    </row>
    <row r="12" spans="1:14" x14ac:dyDescent="0.25">
      <c r="A12" s="27">
        <v>3</v>
      </c>
      <c r="B12" t="s">
        <v>87</v>
      </c>
      <c r="F12" s="28">
        <f xml:space="preserve"> Annual!AD16</f>
        <v>179257.36235595393</v>
      </c>
      <c r="G12" s="28"/>
      <c r="I12" s="45">
        <v>70</v>
      </c>
      <c r="K12" s="37" t="s">
        <v>99</v>
      </c>
      <c r="N12" s="28">
        <f t="shared" si="0"/>
        <v>152879.20964797915</v>
      </c>
    </row>
    <row r="13" spans="1:14" x14ac:dyDescent="0.25">
      <c r="A13" s="27">
        <v>4</v>
      </c>
      <c r="B13" t="s">
        <v>88</v>
      </c>
      <c r="F13" s="28">
        <f xml:space="preserve"> Annual!AD20</f>
        <v>184831.52994977747</v>
      </c>
      <c r="G13" s="28">
        <f xml:space="preserve"> Annual!AG16</f>
        <v>167124.26883132389</v>
      </c>
      <c r="I13" s="45">
        <v>30</v>
      </c>
      <c r="K13" s="44" t="s">
        <v>102</v>
      </c>
      <c r="L13" s="40">
        <v>230.1</v>
      </c>
      <c r="N13" s="28">
        <f t="shared" si="0"/>
        <v>152879.20964797915</v>
      </c>
    </row>
    <row r="14" spans="1:14" x14ac:dyDescent="0.25">
      <c r="A14" s="27">
        <v>5</v>
      </c>
      <c r="B14" t="s">
        <v>85</v>
      </c>
      <c r="F14" s="28">
        <f xml:space="preserve"> Annual!AD25</f>
        <v>220699.26820768966</v>
      </c>
      <c r="G14" s="28">
        <f xml:space="preserve"> Annual!AG20</f>
        <v>141172.8987993139</v>
      </c>
      <c r="I14" s="45">
        <v>18.600000000000001</v>
      </c>
      <c r="N14" s="28">
        <f t="shared" si="0"/>
        <v>152879.20964797915</v>
      </c>
    </row>
    <row r="15" spans="1:14" x14ac:dyDescent="0.25">
      <c r="A15" s="27">
        <v>6</v>
      </c>
      <c r="B15" t="s">
        <v>91</v>
      </c>
      <c r="F15" s="28">
        <f xml:space="preserve"> Annual!AD30</f>
        <v>319210.67821067822</v>
      </c>
      <c r="G15" s="28">
        <f xml:space="preserve"> Annual!AG25</f>
        <v>186695.48983000888</v>
      </c>
      <c r="H15" t="s">
        <v>94</v>
      </c>
      <c r="I15" s="45">
        <v>18.600000000000001</v>
      </c>
      <c r="K15" s="37" t="s">
        <v>103</v>
      </c>
      <c r="N15" s="28">
        <f t="shared" si="0"/>
        <v>152879.20964797915</v>
      </c>
    </row>
    <row r="16" spans="1:14" x14ac:dyDescent="0.25">
      <c r="A16" s="27">
        <v>7</v>
      </c>
      <c r="B16" t="s">
        <v>93</v>
      </c>
      <c r="F16" s="28">
        <f xml:space="preserve"> Annual!AD35</f>
        <v>596931.65969316603</v>
      </c>
      <c r="G16" s="28">
        <f xml:space="preserve"> Annual!AG27</f>
        <v>263301.88679245283</v>
      </c>
      <c r="H16" t="s">
        <v>94</v>
      </c>
      <c r="I16" s="45">
        <v>18.600000000000001</v>
      </c>
      <c r="K16" s="43" t="s">
        <v>104</v>
      </c>
      <c r="L16" s="41">
        <f xml:space="preserve"> L10/L13</f>
        <v>152879.20964797915</v>
      </c>
      <c r="N16" s="28">
        <f t="shared" si="0"/>
        <v>152879.20964797915</v>
      </c>
    </row>
    <row r="17" spans="1:14" x14ac:dyDescent="0.25">
      <c r="A17" s="27">
        <v>8</v>
      </c>
      <c r="B17" t="s">
        <v>92</v>
      </c>
      <c r="F17" s="28">
        <f xml:space="preserve"> Annual!AD39</f>
        <v>721763.10901557375</v>
      </c>
      <c r="G17" s="28">
        <f xml:space="preserve"> Annual!AG32</f>
        <v>492700.72992700728</v>
      </c>
      <c r="H17" t="s">
        <v>94</v>
      </c>
      <c r="I17" s="45">
        <v>18.600000000000001</v>
      </c>
      <c r="N17" s="28">
        <f t="shared" si="0"/>
        <v>152879.20964797915</v>
      </c>
    </row>
    <row r="18" spans="1:14" x14ac:dyDescent="0.25">
      <c r="F18" s="28"/>
      <c r="G18" s="28">
        <f xml:space="preserve"> Annual!AG33</f>
        <v>529197.08029197075</v>
      </c>
      <c r="N18" s="28"/>
    </row>
    <row r="19" spans="1:14" x14ac:dyDescent="0.25">
      <c r="A19" t="s">
        <v>95</v>
      </c>
      <c r="F19" s="28"/>
      <c r="G19" s="28">
        <f xml:space="preserve"> Annual!AG34</f>
        <v>540145.98540145985</v>
      </c>
      <c r="N19" s="28"/>
    </row>
    <row r="20" spans="1:14" x14ac:dyDescent="0.25">
      <c r="A20" s="33" t="s">
        <v>109</v>
      </c>
      <c r="G20" s="28">
        <f xml:space="preserve"> Annual!AG37</f>
        <v>592461.86814572045</v>
      </c>
      <c r="N20" s="28"/>
    </row>
    <row r="21" spans="1:14" x14ac:dyDescent="0.25">
      <c r="A21" s="27"/>
      <c r="G21" s="28">
        <f xml:space="preserve"> Annual!AG38</f>
        <v>681109.29030631541</v>
      </c>
      <c r="N21" s="28"/>
    </row>
    <row r="22" spans="1:14" x14ac:dyDescent="0.25">
      <c r="A22" s="27"/>
    </row>
  </sheetData>
  <mergeCells count="2">
    <mergeCell ref="F8:F9"/>
    <mergeCell ref="N8:N9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</vt:lpstr>
      <vt:lpstr>Data for Chart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Verschoor</dc:creator>
  <cp:lastModifiedBy>Lisa Burr</cp:lastModifiedBy>
  <cp:lastPrinted>2017-04-11T12:50:17Z</cp:lastPrinted>
  <dcterms:created xsi:type="dcterms:W3CDTF">2017-03-10T18:43:04Z</dcterms:created>
  <dcterms:modified xsi:type="dcterms:W3CDTF">2017-04-11T15:28:02Z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091ea586-7472-4096-890f-226de1cbb657</vt:lpwstr>
  </property>
</Properties>
</file>